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rocket-data\staff\Admin\jfleming\Documents\02.00 Federal\22 Grants\ESSER III\"/>
    </mc:Choice>
  </mc:AlternateContent>
  <bookViews>
    <workbookView xWindow="4416" yWindow="552" windowWidth="21432" windowHeight="20796" activeTab="2"/>
  </bookViews>
  <sheets>
    <sheet name="ESSER I" sheetId="1" r:id="rId1"/>
    <sheet name="ESSER II" sheetId="2" r:id="rId2"/>
    <sheet name="ESSER III" sheetId="3" r:id="rId3"/>
    <sheet name="5 yr Forecast Distribution" sheetId="4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3" l="1"/>
  <c r="K10" i="3"/>
  <c r="K9" i="3"/>
  <c r="K8" i="3"/>
  <c r="K7" i="3"/>
  <c r="F4" i="3"/>
  <c r="G4" i="3"/>
  <c r="F9" i="3"/>
  <c r="F8" i="3"/>
  <c r="K2" i="3" l="1"/>
  <c r="K14" i="3" l="1"/>
  <c r="K15" i="3" s="1"/>
  <c r="D14" i="4"/>
  <c r="C14" i="4"/>
  <c r="B14" i="4"/>
  <c r="F6" i="4"/>
  <c r="E19" i="4"/>
  <c r="F13" i="4"/>
  <c r="F14" i="4" s="1"/>
  <c r="D13" i="4"/>
  <c r="G13" i="4" s="1"/>
  <c r="D5" i="4"/>
  <c r="D19" i="4" s="1"/>
  <c r="E13" i="4"/>
  <c r="E14" i="4" s="1"/>
  <c r="C13" i="4"/>
  <c r="B13" i="4"/>
  <c r="E5" i="4"/>
  <c r="F12" i="4"/>
  <c r="E4" i="4"/>
  <c r="C12" i="4"/>
  <c r="B12" i="4"/>
  <c r="E12" i="4"/>
  <c r="E3" i="4"/>
  <c r="E6" i="4" s="1"/>
  <c r="E11" i="4"/>
  <c r="G11" i="4" s="1"/>
  <c r="D4" i="4"/>
  <c r="D6" i="4" s="1"/>
  <c r="D12" i="4"/>
  <c r="G12" i="4" s="1"/>
  <c r="G14" i="4" s="1"/>
  <c r="C5" i="4"/>
  <c r="C19" i="4" s="1"/>
  <c r="C4" i="4"/>
  <c r="C6" i="4" s="1"/>
  <c r="B5" i="4"/>
  <c r="B19" i="4" s="1"/>
  <c r="B4" i="4"/>
  <c r="G4" i="4" s="1"/>
  <c r="B3" i="4"/>
  <c r="B6" i="4" s="1"/>
  <c r="H14" i="3"/>
  <c r="F14" i="3"/>
  <c r="E14" i="3"/>
  <c r="D14" i="3"/>
  <c r="F3" i="1"/>
  <c r="G14" i="3"/>
  <c r="G16" i="3" s="1"/>
  <c r="D11" i="2"/>
  <c r="G19" i="4" l="1"/>
  <c r="G5" i="4"/>
  <c r="G3" i="4"/>
  <c r="G6" i="4" s="1"/>
  <c r="H16" i="3"/>
  <c r="G23" i="2"/>
  <c r="F23" i="2"/>
  <c r="E23" i="2"/>
  <c r="C23" i="2"/>
  <c r="I14" i="3" l="1"/>
  <c r="F2" i="3" l="1"/>
  <c r="F16" i="3" l="1"/>
  <c r="D23" i="2"/>
  <c r="H23" i="2" s="1"/>
  <c r="E16" i="3" l="1"/>
  <c r="I4" i="3"/>
  <c r="J4" i="3" s="1"/>
  <c r="D16" i="3"/>
  <c r="I16" i="3" l="1"/>
  <c r="G25" i="2"/>
  <c r="F25" i="2"/>
  <c r="E25" i="2"/>
  <c r="D25" i="2"/>
  <c r="C25" i="2" l="1"/>
  <c r="H4" i="2"/>
  <c r="I4" i="2" s="1"/>
  <c r="H25" i="2" l="1"/>
  <c r="G19" i="1"/>
  <c r="G21" i="1" s="1"/>
  <c r="F21" i="1"/>
  <c r="E21" i="1"/>
  <c r="E23" i="1" s="1"/>
  <c r="D21" i="1"/>
  <c r="D23" i="1" s="1"/>
  <c r="C21" i="1"/>
  <c r="C23" i="1" s="1"/>
  <c r="H3" i="1"/>
  <c r="I3" i="1" s="1"/>
  <c r="H19" i="1" l="1"/>
  <c r="H21" i="1" s="1"/>
  <c r="F23" i="1"/>
</calcChain>
</file>

<file path=xl/sharedStrings.xml><?xml version="1.0" encoding="utf-8"?>
<sst xmlns="http://schemas.openxmlformats.org/spreadsheetml/2006/main" count="181" uniqueCount="92">
  <si>
    <t>Salaries</t>
  </si>
  <si>
    <t xml:space="preserve"> </t>
  </si>
  <si>
    <t>Benefits</t>
  </si>
  <si>
    <t xml:space="preserve">Purchased Services </t>
  </si>
  <si>
    <t>Capital Outlay</t>
  </si>
  <si>
    <t>3/12/20 - 9/30/22</t>
  </si>
  <si>
    <t>Newsela-Distance Learning</t>
  </si>
  <si>
    <t>McGraw Hill-Alek Seats</t>
  </si>
  <si>
    <t>Exploring Learning-Gizmos</t>
  </si>
  <si>
    <t>FY22</t>
  </si>
  <si>
    <t>FY21</t>
  </si>
  <si>
    <t xml:space="preserve">ESSER I </t>
  </si>
  <si>
    <t>Supplies</t>
  </si>
  <si>
    <t>CCIP Budget</t>
  </si>
  <si>
    <t xml:space="preserve">Total Expenditures </t>
  </si>
  <si>
    <t>Variance</t>
  </si>
  <si>
    <t>Band bell covers</t>
  </si>
  <si>
    <t>Sticks and Mallets</t>
  </si>
  <si>
    <t>Video Journalism</t>
  </si>
  <si>
    <t>Fiscal Year</t>
  </si>
  <si>
    <t>Total     Grant</t>
  </si>
  <si>
    <t>ESSER II</t>
  </si>
  <si>
    <t>3/12/20 - 9/30/23</t>
  </si>
  <si>
    <t>HS Chiller</t>
  </si>
  <si>
    <t>Bus</t>
  </si>
  <si>
    <t xml:space="preserve">  </t>
  </si>
  <si>
    <t>Curriculum</t>
  </si>
  <si>
    <t>ESSER III</t>
  </si>
  <si>
    <t>HS Cabinet Air Unit</t>
  </si>
  <si>
    <t>Leader in Me Program</t>
  </si>
  <si>
    <t xml:space="preserve">FY21 Class Ipads </t>
  </si>
  <si>
    <t>Kindergarten Screening</t>
  </si>
  <si>
    <t>School Nurse - J Wygle</t>
  </si>
  <si>
    <t>Guidance - C Bush</t>
  </si>
  <si>
    <t>Nurse - Contracted extra services</t>
  </si>
  <si>
    <t>FER due September 20, 2022</t>
  </si>
  <si>
    <t>FER due September 30, 2023</t>
  </si>
  <si>
    <t>FER due September 30, 2024</t>
  </si>
  <si>
    <t>Accountant - Ann Wright</t>
  </si>
  <si>
    <t>.</t>
  </si>
  <si>
    <t>One-to-One Aide</t>
  </si>
  <si>
    <t>Remove from the 5 Year Forecast</t>
  </si>
  <si>
    <t>Total</t>
  </si>
  <si>
    <t>2020-2021</t>
  </si>
  <si>
    <t>2021-2022</t>
  </si>
  <si>
    <t>2022-2023</t>
  </si>
  <si>
    <t>New Reoccurring Cost (add back to the 5 Year Forecast in FY24)</t>
  </si>
  <si>
    <t>2023-2024</t>
  </si>
  <si>
    <t>employ existing staff of the local educational agency."</t>
  </si>
  <si>
    <t>- Distance learning curriculum - to be used for remote learning and socal distancing. Kdg shared supplies were individualized.</t>
  </si>
  <si>
    <t>allow students to view activities limiting in-person attendence.</t>
  </si>
  <si>
    <t xml:space="preserve">- Covering instrument bells limit the amount of air, etc. that is discharged. Video journalism will help with social distancing and </t>
  </si>
  <si>
    <t xml:space="preserve">- "Other activities that are necessary to maintain the operations of and continuity of services in local educational agencies and to </t>
  </si>
  <si>
    <t>Virtual Learning Academy</t>
  </si>
  <si>
    <t>Learning Loss</t>
  </si>
  <si>
    <t>- Contracted nurse services to help with increasing need for nursing services.</t>
  </si>
  <si>
    <t>Qualified Category</t>
  </si>
  <si>
    <t>Student Learning</t>
  </si>
  <si>
    <t>Support Student Learning</t>
  </si>
  <si>
    <t>Social emotional needs</t>
  </si>
  <si>
    <t>Assessing students</t>
  </si>
  <si>
    <t>Maintaining Air Quality</t>
  </si>
  <si>
    <t>Continuity of Operation</t>
  </si>
  <si>
    <t>Improving air quality and ventilation</t>
  </si>
  <si>
    <t>Student Social &amp; Emotional needs</t>
  </si>
  <si>
    <t>Computer Teacher - JT</t>
  </si>
  <si>
    <t>VLA Aide - BH</t>
  </si>
  <si>
    <t>Qualified ESSER III Category</t>
  </si>
  <si>
    <t>Additional Supplies/Services Not in General Fund and will not be in future</t>
  </si>
  <si>
    <t>Salaries 3.01</t>
  </si>
  <si>
    <t>Benefits 3.02</t>
  </si>
  <si>
    <t>Purchased Services 3.04</t>
  </si>
  <si>
    <t>Supplies 3.05</t>
  </si>
  <si>
    <t>Capital Outlay 3.06</t>
  </si>
  <si>
    <t xml:space="preserve">20% Set Aside </t>
  </si>
  <si>
    <t>Tutors &amp; After school teaching</t>
  </si>
  <si>
    <t>20% Set Aside for Learning Loss</t>
  </si>
  <si>
    <t>Academic Impact of Lost Instruction Time</t>
  </si>
  <si>
    <t>Stabilize workforce &amp; Avoid Layoffs</t>
  </si>
  <si>
    <t>Social emotional and mental health needs</t>
  </si>
  <si>
    <t>3/12/20 - 9/30/24</t>
  </si>
  <si>
    <t>Iready</t>
  </si>
  <si>
    <t>Powerschool - Performance Matters</t>
  </si>
  <si>
    <t>Futrue Ed Solutions</t>
  </si>
  <si>
    <t>Hot spots</t>
  </si>
  <si>
    <t>Chromebooks</t>
  </si>
  <si>
    <t>Assessing students learning loss and provide continuity of services</t>
  </si>
  <si>
    <t>HVAC - RES and Jr/Sr High (if possible)</t>
  </si>
  <si>
    <t>Half day remote learning advisor - learning loss 50% salary and Benefits</t>
  </si>
  <si>
    <t>X</t>
  </si>
  <si>
    <t>possibility depending on how expenditures progress in the areas with dedicated dollars.</t>
  </si>
  <si>
    <t>FY22/FY23/FY24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</si>
</sst>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7030A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color theme="4" tint="-0.499984740745262"/>
      <name val="Calibri"/>
      <family val="2"/>
      <scheme val="minor"/>
    </font>
    <font>
      <i/>
      <sz val="11"/>
      <color theme="4" tint="-0.499984740745262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b/>
      <i/>
      <sz val="11"/>
      <color theme="5" tint="-0.249977111117893"/>
      <name val="Calibri"/>
      <family val="2"/>
      <scheme val="minor"/>
    </font>
    <font>
      <b/>
      <i/>
      <sz val="11"/>
      <color theme="3" tint="-0.249977111117893"/>
      <name val="Calibri"/>
      <family val="2"/>
      <scheme val="minor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3">
    <xf numFmtId="0" fontId="0" fillId="0" borderId="0" xfId="0"/>
    <xf numFmtId="0" fontId="3" fillId="0" borderId="0" xfId="0" applyFont="1" applyAlignment="1">
      <alignment horizontal="center" wrapText="1"/>
    </xf>
    <xf numFmtId="43" fontId="0" fillId="0" borderId="0" xfId="1" applyFont="1"/>
    <xf numFmtId="43" fontId="0" fillId="0" borderId="0" xfId="0" applyNumberFormat="1"/>
    <xf numFmtId="0" fontId="3" fillId="0" borderId="0" xfId="0" applyFont="1"/>
    <xf numFmtId="43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1" xfId="0" applyFont="1" applyBorder="1" applyAlignment="1">
      <alignment horizontal="right" wrapText="1"/>
    </xf>
    <xf numFmtId="43" fontId="3" fillId="0" borderId="1" xfId="1" applyFont="1" applyBorder="1" applyAlignment="1">
      <alignment wrapText="1"/>
    </xf>
    <xf numFmtId="43" fontId="3" fillId="0" borderId="1" xfId="1" applyFont="1" applyBorder="1" applyAlignment="1">
      <alignment horizontal="center" wrapText="1"/>
    </xf>
    <xf numFmtId="43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right"/>
    </xf>
    <xf numFmtId="0" fontId="0" fillId="0" borderId="1" xfId="0" applyBorder="1"/>
    <xf numFmtId="43" fontId="0" fillId="0" borderId="1" xfId="1" applyFont="1" applyBorder="1"/>
    <xf numFmtId="43" fontId="0" fillId="0" borderId="1" xfId="0" applyNumberFormat="1" applyBorder="1"/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44" fontId="3" fillId="0" borderId="0" xfId="2" applyFont="1"/>
    <xf numFmtId="0" fontId="4" fillId="0" borderId="1" xfId="0" applyFont="1" applyBorder="1" applyAlignment="1">
      <alignment horizontal="right"/>
    </xf>
    <xf numFmtId="43" fontId="4" fillId="0" borderId="1" xfId="1" applyFont="1" applyBorder="1"/>
    <xf numFmtId="43" fontId="4" fillId="0" borderId="1" xfId="0" applyNumberFormat="1" applyFont="1" applyBorder="1"/>
    <xf numFmtId="44" fontId="3" fillId="0" borderId="0" xfId="0" applyNumberFormat="1" applyFont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 wrapText="1"/>
    </xf>
    <xf numFmtId="43" fontId="3" fillId="3" borderId="1" xfId="1" applyFont="1" applyFill="1" applyBorder="1" applyAlignment="1">
      <alignment wrapText="1"/>
    </xf>
    <xf numFmtId="43" fontId="3" fillId="3" borderId="1" xfId="1" applyFont="1" applyFill="1" applyBorder="1" applyAlignment="1">
      <alignment horizontal="center" wrapText="1"/>
    </xf>
    <xf numFmtId="43" fontId="3" fillId="3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/>
    </xf>
    <xf numFmtId="0" fontId="6" fillId="0" borderId="1" xfId="0" applyFont="1" applyBorder="1"/>
    <xf numFmtId="43" fontId="6" fillId="0" borderId="1" xfId="1" applyFont="1" applyBorder="1"/>
    <xf numFmtId="0" fontId="7" fillId="0" borderId="1" xfId="0" applyFont="1" applyBorder="1"/>
    <xf numFmtId="43" fontId="7" fillId="0" borderId="1" xfId="1" applyFont="1" applyBorder="1"/>
    <xf numFmtId="0" fontId="3" fillId="5" borderId="1" xfId="0" applyFont="1" applyFill="1" applyBorder="1" applyAlignment="1">
      <alignment horizontal="right" wrapText="1"/>
    </xf>
    <xf numFmtId="43" fontId="3" fillId="5" borderId="1" xfId="1" applyFont="1" applyFill="1" applyBorder="1" applyAlignment="1">
      <alignment wrapText="1"/>
    </xf>
    <xf numFmtId="43" fontId="3" fillId="5" borderId="1" xfId="1" applyFont="1" applyFill="1" applyBorder="1" applyAlignment="1">
      <alignment horizontal="center" wrapText="1"/>
    </xf>
    <xf numFmtId="43" fontId="3" fillId="5" borderId="1" xfId="0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horizontal="left"/>
    </xf>
    <xf numFmtId="43" fontId="8" fillId="0" borderId="1" xfId="1" applyFont="1" applyBorder="1"/>
    <xf numFmtId="0" fontId="8" fillId="0" borderId="1" xfId="0" applyFont="1" applyFill="1" applyBorder="1" applyAlignment="1">
      <alignment horizontal="left"/>
    </xf>
    <xf numFmtId="0" fontId="9" fillId="0" borderId="1" xfId="0" applyFont="1" applyBorder="1" applyAlignment="1">
      <alignment horizontal="right"/>
    </xf>
    <xf numFmtId="0" fontId="7" fillId="0" borderId="0" xfId="0" applyFont="1"/>
    <xf numFmtId="43" fontId="10" fillId="0" borderId="1" xfId="1" applyFont="1" applyBorder="1"/>
    <xf numFmtId="0" fontId="11" fillId="6" borderId="1" xfId="0" applyFont="1" applyFill="1" applyBorder="1" applyAlignment="1">
      <alignment horizontal="center" wrapText="1"/>
    </xf>
    <xf numFmtId="0" fontId="3" fillId="7" borderId="1" xfId="0" applyFont="1" applyFill="1" applyBorder="1" applyAlignment="1">
      <alignment horizontal="right" wrapText="1"/>
    </xf>
    <xf numFmtId="43" fontId="3" fillId="7" borderId="1" xfId="1" applyFont="1" applyFill="1" applyBorder="1" applyAlignment="1">
      <alignment wrapText="1"/>
    </xf>
    <xf numFmtId="43" fontId="3" fillId="7" borderId="1" xfId="1" applyFont="1" applyFill="1" applyBorder="1" applyAlignment="1">
      <alignment horizontal="center" wrapText="1"/>
    </xf>
    <xf numFmtId="43" fontId="3" fillId="7" borderId="1" xfId="0" applyNumberFormat="1" applyFont="1" applyFill="1" applyBorder="1" applyAlignment="1">
      <alignment horizontal="center" wrapText="1"/>
    </xf>
    <xf numFmtId="0" fontId="12" fillId="6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3" fillId="6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3" fillId="0" borderId="0" xfId="0" quotePrefix="1" applyFont="1"/>
    <xf numFmtId="0" fontId="14" fillId="0" borderId="0" xfId="0" applyFont="1"/>
    <xf numFmtId="0" fontId="4" fillId="0" borderId="0" xfId="0" applyFont="1" applyAlignment="1">
      <alignment horizontal="right"/>
    </xf>
    <xf numFmtId="0" fontId="13" fillId="0" borderId="0" xfId="0" applyFont="1"/>
    <xf numFmtId="0" fontId="15" fillId="0" borderId="0" xfId="0" quotePrefix="1" applyFont="1"/>
    <xf numFmtId="43" fontId="14" fillId="0" borderId="0" xfId="0" applyNumberFormat="1" applyFont="1"/>
    <xf numFmtId="0" fontId="4" fillId="0" borderId="0" xfId="0" quotePrefix="1" applyFont="1" applyAlignment="1">
      <alignment horizontal="left"/>
    </xf>
    <xf numFmtId="0" fontId="16" fillId="0" borderId="0" xfId="0" quotePrefix="1" applyFont="1" applyAlignment="1">
      <alignment horizontal="left"/>
    </xf>
    <xf numFmtId="0" fontId="17" fillId="0" borderId="0" xfId="0" quotePrefix="1" applyFont="1" applyAlignment="1">
      <alignment horizontal="left"/>
    </xf>
    <xf numFmtId="0" fontId="18" fillId="0" borderId="0" xfId="0" applyFont="1"/>
    <xf numFmtId="43" fontId="18" fillId="0" borderId="0" xfId="1" applyFont="1"/>
    <xf numFmtId="43" fontId="18" fillId="0" borderId="0" xfId="0" applyNumberFormat="1" applyFont="1"/>
    <xf numFmtId="0" fontId="19" fillId="0" borderId="0" xfId="0" applyFont="1"/>
    <xf numFmtId="0" fontId="16" fillId="0" borderId="0" xfId="0" applyFont="1" applyAlignment="1">
      <alignment horizontal="left"/>
    </xf>
    <xf numFmtId="0" fontId="16" fillId="0" borderId="0" xfId="0" applyFont="1"/>
    <xf numFmtId="0" fontId="20" fillId="0" borderId="0" xfId="0" quotePrefix="1" applyFont="1" applyAlignment="1">
      <alignment horizontal="left"/>
    </xf>
    <xf numFmtId="0" fontId="21" fillId="0" borderId="0" xfId="0" applyFont="1"/>
    <xf numFmtId="0" fontId="20" fillId="0" borderId="0" xfId="0" applyFont="1" applyAlignment="1">
      <alignment horizontal="left"/>
    </xf>
    <xf numFmtId="0" fontId="20" fillId="0" borderId="0" xfId="0" applyFont="1"/>
    <xf numFmtId="0" fontId="13" fillId="0" borderId="0" xfId="0" applyFont="1" applyAlignment="1">
      <alignment horizontal="left"/>
    </xf>
    <xf numFmtId="0" fontId="22" fillId="0" borderId="0" xfId="0" applyFont="1"/>
    <xf numFmtId="0" fontId="22" fillId="0" borderId="0" xfId="0" quotePrefix="1" applyFont="1"/>
    <xf numFmtId="0" fontId="23" fillId="0" borderId="0" xfId="0" quotePrefix="1" applyFont="1" applyAlignment="1">
      <alignment horizontal="left"/>
    </xf>
    <xf numFmtId="0" fontId="16" fillId="0" borderId="0" xfId="0" quotePrefix="1" applyFont="1"/>
    <xf numFmtId="0" fontId="23" fillId="0" borderId="0" xfId="0" applyFont="1"/>
    <xf numFmtId="0" fontId="15" fillId="0" borderId="0" xfId="0" applyFont="1"/>
    <xf numFmtId="0" fontId="24" fillId="0" borderId="0" xfId="0" quotePrefix="1" applyFont="1" applyAlignment="1">
      <alignment horizontal="left"/>
    </xf>
    <xf numFmtId="0" fontId="17" fillId="0" borderId="0" xfId="0" applyFont="1"/>
    <xf numFmtId="0" fontId="25" fillId="0" borderId="0" xfId="0" applyFont="1"/>
    <xf numFmtId="0" fontId="25" fillId="0" borderId="0" xfId="0" quotePrefix="1" applyFont="1" applyAlignment="1">
      <alignment horizontal="left"/>
    </xf>
    <xf numFmtId="0" fontId="8" fillId="0" borderId="1" xfId="0" applyFont="1" applyBorder="1"/>
    <xf numFmtId="0" fontId="4" fillId="0" borderId="0" xfId="0" applyFont="1" applyAlignment="1">
      <alignment horizontal="center"/>
    </xf>
    <xf numFmtId="0" fontId="24" fillId="0" borderId="0" xfId="0" applyFont="1"/>
    <xf numFmtId="0" fontId="3" fillId="8" borderId="1" xfId="0" applyFont="1" applyFill="1" applyBorder="1" applyAlignment="1">
      <alignment horizontal="center" wrapText="1"/>
    </xf>
    <xf numFmtId="7" fontId="3" fillId="0" borderId="0" xfId="2" applyNumberFormat="1" applyFont="1" applyAlignment="1">
      <alignment horizontal="center"/>
    </xf>
    <xf numFmtId="7" fontId="0" fillId="0" borderId="1" xfId="1" applyNumberFormat="1" applyFont="1" applyBorder="1"/>
    <xf numFmtId="7" fontId="3" fillId="0" borderId="0" xfId="0" applyNumberFormat="1" applyFont="1"/>
    <xf numFmtId="0" fontId="3" fillId="8" borderId="2" xfId="0" applyFont="1" applyFill="1" applyBorder="1" applyAlignment="1">
      <alignment horizontal="center" wrapText="1"/>
    </xf>
    <xf numFmtId="43" fontId="3" fillId="8" borderId="1" xfId="0" applyNumberFormat="1" applyFont="1" applyFill="1" applyBorder="1" applyAlignment="1">
      <alignment horizontal="center" wrapText="1"/>
    </xf>
    <xf numFmtId="44" fontId="3" fillId="9" borderId="1" xfId="0" applyNumberFormat="1" applyFont="1" applyFill="1" applyBorder="1" applyAlignment="1">
      <alignment horizontal="center" wrapText="1"/>
    </xf>
    <xf numFmtId="0" fontId="8" fillId="8" borderId="1" xfId="0" applyFont="1" applyFill="1" applyBorder="1" applyAlignment="1">
      <alignment horizontal="left"/>
    </xf>
    <xf numFmtId="0" fontId="0" fillId="9" borderId="1" xfId="0" applyFill="1" applyBorder="1"/>
    <xf numFmtId="0" fontId="3" fillId="9" borderId="1" xfId="0" applyFont="1" applyFill="1" applyBorder="1" applyAlignment="1">
      <alignment horizontal="center" wrapText="1"/>
    </xf>
    <xf numFmtId="4" fontId="8" fillId="9" borderId="1" xfId="0" quotePrefix="1" applyNumberFormat="1" applyFont="1" applyFill="1" applyBorder="1" applyAlignment="1">
      <alignment horizontal="right"/>
    </xf>
    <xf numFmtId="4" fontId="8" fillId="9" borderId="1" xfId="0" applyNumberFormat="1" applyFont="1" applyFill="1" applyBorder="1" applyAlignment="1">
      <alignment horizontal="right"/>
    </xf>
    <xf numFmtId="164" fontId="8" fillId="9" borderId="1" xfId="0" applyNumberFormat="1" applyFont="1" applyFill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3" fillId="9" borderId="1" xfId="0" applyFont="1" applyFill="1" applyBorder="1" applyAlignment="1">
      <alignment horizontal="center"/>
    </xf>
    <xf numFmtId="0" fontId="26" fillId="8" borderId="1" xfId="0" applyFont="1" applyFill="1" applyBorder="1" applyAlignment="1">
      <alignment horizontal="center"/>
    </xf>
    <xf numFmtId="0" fontId="8" fillId="0" borderId="1" xfId="0" applyFont="1" applyFill="1" applyBorder="1"/>
    <xf numFmtId="43" fontId="8" fillId="0" borderId="1" xfId="0" applyNumberFormat="1" applyFont="1" applyBorder="1"/>
    <xf numFmtId="43" fontId="8" fillId="0" borderId="1" xfId="1" applyFont="1" applyBorder="1" applyAlignment="1">
      <alignment wrapText="1"/>
    </xf>
    <xf numFmtId="43" fontId="26" fillId="0" borderId="1" xfId="1" applyFont="1" applyBorder="1" applyAlignment="1">
      <alignment horizontal="center" wrapText="1"/>
    </xf>
    <xf numFmtId="43" fontId="8" fillId="0" borderId="1" xfId="1" applyFont="1" applyBorder="1" applyAlignment="1">
      <alignment horizontal="center" wrapText="1"/>
    </xf>
    <xf numFmtId="43" fontId="26" fillId="0" borderId="1" xfId="0" applyNumberFormat="1" applyFont="1" applyBorder="1" applyAlignment="1">
      <alignment horizontal="center" wrapText="1"/>
    </xf>
    <xf numFmtId="0" fontId="22" fillId="0" borderId="1" xfId="0" applyFont="1" applyBorder="1" applyAlignment="1">
      <alignment horizontal="left"/>
    </xf>
    <xf numFmtId="7" fontId="3" fillId="7" borderId="1" xfId="1" applyNumberFormat="1" applyFont="1" applyFill="1" applyBorder="1" applyAlignment="1">
      <alignment horizontal="center" wrapText="1"/>
    </xf>
    <xf numFmtId="0" fontId="0" fillId="0" borderId="0" xfId="0" applyFont="1" applyAlignment="1">
      <alignment horizontal="righ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colors>
    <mruColors>
      <color rgb="FFFF3300"/>
      <color rgb="FF7909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I31"/>
  <sheetViews>
    <sheetView workbookViewId="0">
      <selection activeCell="B46" sqref="B46"/>
    </sheetView>
  </sheetViews>
  <sheetFormatPr defaultRowHeight="14.4" x14ac:dyDescent="0.3"/>
  <cols>
    <col min="1" max="1" width="9.109375" style="6"/>
    <col min="2" max="2" width="29.88671875" customWidth="1"/>
    <col min="3" max="6" width="13.44140625" customWidth="1"/>
    <col min="7" max="7" width="10.33203125" customWidth="1"/>
    <col min="8" max="8" width="11.5546875" bestFit="1" customWidth="1"/>
    <col min="9" max="9" width="11" bestFit="1" customWidth="1"/>
  </cols>
  <sheetData>
    <row r="1" spans="1:9" s="4" customFormat="1" x14ac:dyDescent="0.3">
      <c r="A1" s="6"/>
      <c r="B1" s="19">
        <v>239190.22</v>
      </c>
      <c r="C1" s="4" t="s">
        <v>5</v>
      </c>
    </row>
    <row r="2" spans="1:9" s="1" customFormat="1" ht="30" x14ac:dyDescent="0.4">
      <c r="A2" s="24" t="s">
        <v>19</v>
      </c>
      <c r="B2" s="25" t="s">
        <v>11</v>
      </c>
      <c r="C2" s="24" t="s">
        <v>0</v>
      </c>
      <c r="D2" s="24" t="s">
        <v>2</v>
      </c>
      <c r="E2" s="24" t="s">
        <v>3</v>
      </c>
      <c r="F2" s="24" t="s">
        <v>12</v>
      </c>
      <c r="G2" s="24" t="s">
        <v>4</v>
      </c>
      <c r="H2" s="24" t="s">
        <v>20</v>
      </c>
    </row>
    <row r="3" spans="1:9" s="1" customFormat="1" x14ac:dyDescent="0.3">
      <c r="A3" s="26"/>
      <c r="B3" s="27" t="s">
        <v>13</v>
      </c>
      <c r="C3" s="28">
        <v>124970</v>
      </c>
      <c r="D3" s="28">
        <v>11684</v>
      </c>
      <c r="E3" s="28">
        <v>51600</v>
      </c>
      <c r="F3" s="28">
        <f>50906.48+29.74</f>
        <v>50936.22</v>
      </c>
      <c r="G3" s="28">
        <v>0</v>
      </c>
      <c r="H3" s="29">
        <f>SUM(C3:G3)</f>
        <v>239190.22</v>
      </c>
      <c r="I3" s="5">
        <f>+B1-H3</f>
        <v>0</v>
      </c>
    </row>
    <row r="4" spans="1:9" s="1" customFormat="1" x14ac:dyDescent="0.3">
      <c r="A4" s="8"/>
      <c r="B4" s="9"/>
      <c r="C4" s="10"/>
      <c r="D4" s="10"/>
      <c r="E4" s="10"/>
      <c r="F4" s="10"/>
      <c r="G4" s="10"/>
      <c r="H4" s="11"/>
    </row>
    <row r="5" spans="1:9" x14ac:dyDescent="0.3">
      <c r="A5" s="12" t="s">
        <v>10</v>
      </c>
      <c r="B5" s="34" t="s">
        <v>65</v>
      </c>
      <c r="C5" s="35">
        <v>42069</v>
      </c>
      <c r="D5" s="13"/>
      <c r="E5" s="14"/>
      <c r="F5" s="14"/>
      <c r="G5" s="14"/>
      <c r="H5" s="13"/>
    </row>
    <row r="6" spans="1:9" x14ac:dyDescent="0.3">
      <c r="A6" s="12"/>
      <c r="B6" s="34" t="s">
        <v>66</v>
      </c>
      <c r="C6" s="35">
        <v>18468</v>
      </c>
      <c r="D6" s="14"/>
      <c r="E6" s="14"/>
      <c r="F6" s="14"/>
      <c r="G6" s="14"/>
      <c r="H6" s="13"/>
    </row>
    <row r="7" spans="1:9" x14ac:dyDescent="0.3">
      <c r="A7" s="12"/>
      <c r="B7" s="32" t="s">
        <v>30</v>
      </c>
      <c r="C7" s="33"/>
      <c r="D7" s="33"/>
      <c r="E7" s="33" t="s">
        <v>1</v>
      </c>
      <c r="F7" s="33">
        <v>8859</v>
      </c>
      <c r="G7" s="14"/>
      <c r="H7" s="14"/>
    </row>
    <row r="8" spans="1:9" x14ac:dyDescent="0.3">
      <c r="A8" s="12"/>
      <c r="B8" s="32" t="s">
        <v>6</v>
      </c>
      <c r="C8" s="33"/>
      <c r="D8" s="33"/>
      <c r="E8" s="33"/>
      <c r="F8" s="33">
        <v>13554</v>
      </c>
      <c r="G8" s="14"/>
      <c r="H8" s="14"/>
    </row>
    <row r="9" spans="1:9" x14ac:dyDescent="0.3">
      <c r="A9" s="12"/>
      <c r="B9" s="32" t="s">
        <v>7</v>
      </c>
      <c r="C9" s="33"/>
      <c r="D9" s="33"/>
      <c r="E9" s="33"/>
      <c r="F9" s="33">
        <v>12187.8</v>
      </c>
      <c r="G9" s="14"/>
      <c r="H9" s="14"/>
    </row>
    <row r="10" spans="1:9" x14ac:dyDescent="0.3">
      <c r="A10" s="12"/>
      <c r="B10" s="32" t="s">
        <v>8</v>
      </c>
      <c r="C10" s="33"/>
      <c r="D10" s="33"/>
      <c r="E10" s="33"/>
      <c r="F10" s="33">
        <v>4500</v>
      </c>
      <c r="G10" s="14"/>
      <c r="H10" s="14"/>
    </row>
    <row r="11" spans="1:9" x14ac:dyDescent="0.3">
      <c r="A11" s="12"/>
      <c r="B11" s="32" t="s">
        <v>31</v>
      </c>
      <c r="C11" s="33"/>
      <c r="D11" s="33"/>
      <c r="E11" s="33"/>
      <c r="F11" s="33">
        <v>657.22</v>
      </c>
      <c r="G11" s="14"/>
      <c r="H11" s="14"/>
    </row>
    <row r="12" spans="1:9" x14ac:dyDescent="0.3">
      <c r="A12" s="12" t="s">
        <v>9</v>
      </c>
      <c r="B12" s="34" t="s">
        <v>65</v>
      </c>
      <c r="C12" s="35">
        <v>45045</v>
      </c>
      <c r="D12" s="35">
        <v>7938</v>
      </c>
      <c r="E12" s="14"/>
      <c r="F12" s="14"/>
      <c r="G12" s="14"/>
      <c r="H12" s="14"/>
      <c r="I12" t="s">
        <v>1</v>
      </c>
    </row>
    <row r="13" spans="1:9" x14ac:dyDescent="0.3">
      <c r="A13" s="12"/>
      <c r="B13" s="34" t="s">
        <v>66</v>
      </c>
      <c r="C13" s="35">
        <v>19388</v>
      </c>
      <c r="D13" s="35">
        <v>3746</v>
      </c>
      <c r="E13" s="14" t="s">
        <v>1</v>
      </c>
      <c r="F13" s="14" t="s">
        <v>1</v>
      </c>
      <c r="G13" s="14" t="s">
        <v>1</v>
      </c>
      <c r="H13" s="14" t="s">
        <v>1</v>
      </c>
    </row>
    <row r="14" spans="1:9" x14ac:dyDescent="0.3">
      <c r="A14" s="12"/>
      <c r="B14" s="16" t="s">
        <v>16</v>
      </c>
      <c r="C14" s="14"/>
      <c r="D14" s="14"/>
      <c r="E14" s="14" t="s">
        <v>1</v>
      </c>
      <c r="F14" s="14">
        <v>229.75</v>
      </c>
      <c r="G14" s="14" t="s">
        <v>1</v>
      </c>
      <c r="H14" s="13"/>
    </row>
    <row r="15" spans="1:9" x14ac:dyDescent="0.3">
      <c r="A15" s="12"/>
      <c r="B15" s="16" t="s">
        <v>17</v>
      </c>
      <c r="C15" s="14"/>
      <c r="D15" s="14"/>
      <c r="E15" s="14"/>
      <c r="F15" s="14">
        <v>1234.1500000000001</v>
      </c>
      <c r="G15" s="14"/>
      <c r="H15" s="13"/>
    </row>
    <row r="16" spans="1:9" x14ac:dyDescent="0.3">
      <c r="A16" s="12"/>
      <c r="B16" s="16" t="s">
        <v>18</v>
      </c>
      <c r="C16" s="14"/>
      <c r="D16" s="14"/>
      <c r="E16" s="14"/>
      <c r="F16" s="14">
        <v>7284.56</v>
      </c>
      <c r="G16" s="14"/>
      <c r="H16" s="13"/>
    </row>
    <row r="17" spans="1:8" x14ac:dyDescent="0.3">
      <c r="A17" s="12"/>
      <c r="B17" s="32" t="s">
        <v>8</v>
      </c>
      <c r="C17" s="33"/>
      <c r="D17" s="33"/>
      <c r="E17" s="33"/>
      <c r="F17" s="33">
        <v>2429.7399999999998</v>
      </c>
      <c r="G17" s="14"/>
      <c r="H17" s="15" t="s">
        <v>1</v>
      </c>
    </row>
    <row r="18" spans="1:8" s="44" customFormat="1" x14ac:dyDescent="0.3">
      <c r="A18" s="43"/>
      <c r="B18" s="52" t="s">
        <v>34</v>
      </c>
      <c r="C18" s="45" t="s">
        <v>1</v>
      </c>
      <c r="D18" s="45" t="s">
        <v>25</v>
      </c>
      <c r="E18" s="45">
        <v>51600</v>
      </c>
      <c r="F18" s="35"/>
      <c r="G18" s="35"/>
      <c r="H18" s="34"/>
    </row>
    <row r="19" spans="1:8" s="7" customFormat="1" x14ac:dyDescent="0.3">
      <c r="A19" s="20"/>
      <c r="B19" s="32" t="s">
        <v>1</v>
      </c>
      <c r="C19" s="33"/>
      <c r="D19" s="33"/>
      <c r="E19" s="33"/>
      <c r="F19" s="33" t="s">
        <v>1</v>
      </c>
      <c r="G19" s="21">
        <f>SUM(G5:G17)</f>
        <v>0</v>
      </c>
      <c r="H19" s="22">
        <f>SUM(C19:G19)</f>
        <v>0</v>
      </c>
    </row>
    <row r="20" spans="1:8" x14ac:dyDescent="0.3">
      <c r="A20" s="12"/>
      <c r="B20" s="16"/>
      <c r="C20" s="14"/>
      <c r="D20" s="14"/>
      <c r="E20" s="14"/>
      <c r="F20" s="14"/>
      <c r="G20" s="14"/>
      <c r="H20" s="13"/>
    </row>
    <row r="21" spans="1:8" x14ac:dyDescent="0.3">
      <c r="A21" s="12"/>
      <c r="B21" s="17" t="s">
        <v>14</v>
      </c>
      <c r="C21" s="21">
        <f>SUM(C5:C20)</f>
        <v>124970</v>
      </c>
      <c r="D21" s="21">
        <f>SUM(D5:D20)</f>
        <v>11684</v>
      </c>
      <c r="E21" s="21">
        <f>SUM(E5:E20)</f>
        <v>51600</v>
      </c>
      <c r="F21" s="21">
        <f>SUM(F5:F20)</f>
        <v>50936.22</v>
      </c>
      <c r="G21" s="14">
        <f>+G3-G19</f>
        <v>0</v>
      </c>
      <c r="H21" s="14">
        <f>+H3-H19</f>
        <v>239190.22</v>
      </c>
    </row>
    <row r="22" spans="1:8" x14ac:dyDescent="0.3">
      <c r="B22" s="13"/>
      <c r="C22" s="14"/>
      <c r="D22" s="14"/>
      <c r="E22" s="14"/>
      <c r="F22" s="14"/>
      <c r="G22" s="14"/>
      <c r="H22" s="15"/>
    </row>
    <row r="23" spans="1:8" x14ac:dyDescent="0.3">
      <c r="B23" s="18" t="s">
        <v>15</v>
      </c>
      <c r="C23" s="14">
        <f>+C3-C21</f>
        <v>0</v>
      </c>
      <c r="D23" s="14">
        <f>+D3-D21</f>
        <v>0</v>
      </c>
      <c r="E23" s="14">
        <f>+E3-E21</f>
        <v>0</v>
      </c>
      <c r="F23" s="14">
        <f>+F3-F21</f>
        <v>0</v>
      </c>
      <c r="G23" s="14"/>
      <c r="H23" s="15"/>
    </row>
    <row r="24" spans="1:8" x14ac:dyDescent="0.3">
      <c r="B24" s="7" t="s">
        <v>35</v>
      </c>
      <c r="C24" s="2"/>
      <c r="D24" s="2"/>
      <c r="E24" s="2"/>
      <c r="F24" s="2"/>
    </row>
    <row r="25" spans="1:8" x14ac:dyDescent="0.3">
      <c r="C25" s="2"/>
      <c r="D25" s="2"/>
      <c r="E25" s="2"/>
      <c r="F25" s="2"/>
    </row>
    <row r="26" spans="1:8" s="56" customFormat="1" x14ac:dyDescent="0.3">
      <c r="A26" s="55" t="s">
        <v>52</v>
      </c>
    </row>
    <row r="27" spans="1:8" s="56" customFormat="1" x14ac:dyDescent="0.3">
      <c r="A27" s="57"/>
      <c r="B27" s="58" t="s">
        <v>48</v>
      </c>
    </row>
    <row r="28" spans="1:8" s="56" customFormat="1" x14ac:dyDescent="0.3">
      <c r="A28" s="59" t="s">
        <v>49</v>
      </c>
      <c r="C28" s="60"/>
    </row>
    <row r="29" spans="1:8" s="56" customFormat="1" x14ac:dyDescent="0.3">
      <c r="A29" s="61" t="s">
        <v>51</v>
      </c>
    </row>
    <row r="30" spans="1:8" s="56" customFormat="1" x14ac:dyDescent="0.3">
      <c r="A30" s="57"/>
      <c r="B30" s="7" t="s">
        <v>50</v>
      </c>
    </row>
    <row r="31" spans="1:8" s="56" customFormat="1" x14ac:dyDescent="0.3">
      <c r="A31" s="77" t="s">
        <v>55</v>
      </c>
    </row>
  </sheetData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2:J38"/>
  <sheetViews>
    <sheetView workbookViewId="0">
      <selection activeCell="E35" sqref="E35"/>
    </sheetView>
  </sheetViews>
  <sheetFormatPr defaultRowHeight="14.4" x14ac:dyDescent="0.3"/>
  <cols>
    <col min="1" max="1" width="9.109375" style="6"/>
    <col min="2" max="2" width="33.33203125" bestFit="1" customWidth="1"/>
    <col min="3" max="6" width="13.44140625" customWidth="1"/>
    <col min="7" max="7" width="12" bestFit="1" customWidth="1"/>
    <col min="8" max="8" width="13.5546875" customWidth="1"/>
    <col min="9" max="9" width="38.33203125" customWidth="1"/>
    <col min="10" max="10" width="11" bestFit="1" customWidth="1"/>
  </cols>
  <sheetData>
    <row r="2" spans="1:10" s="4" customFormat="1" x14ac:dyDescent="0.3">
      <c r="A2" s="6"/>
      <c r="B2" s="19">
        <v>1003544</v>
      </c>
      <c r="C2" s="4" t="s">
        <v>22</v>
      </c>
    </row>
    <row r="3" spans="1:10" s="1" customFormat="1" ht="30" x14ac:dyDescent="0.4">
      <c r="A3" s="30" t="s">
        <v>19</v>
      </c>
      <c r="B3" s="31" t="s">
        <v>21</v>
      </c>
      <c r="C3" s="30" t="s">
        <v>0</v>
      </c>
      <c r="D3" s="30" t="s">
        <v>2</v>
      </c>
      <c r="E3" s="30" t="s">
        <v>3</v>
      </c>
      <c r="F3" s="30" t="s">
        <v>12</v>
      </c>
      <c r="G3" s="30" t="s">
        <v>4</v>
      </c>
      <c r="H3" s="30" t="s">
        <v>20</v>
      </c>
      <c r="I3" s="88" t="s">
        <v>56</v>
      </c>
    </row>
    <row r="4" spans="1:10" s="1" customFormat="1" x14ac:dyDescent="0.3">
      <c r="A4" s="36"/>
      <c r="B4" s="37" t="s">
        <v>13</v>
      </c>
      <c r="C4" s="38">
        <v>247348</v>
      </c>
      <c r="D4" s="38">
        <v>84364</v>
      </c>
      <c r="E4" s="38">
        <v>195000</v>
      </c>
      <c r="F4" s="38">
        <v>36832</v>
      </c>
      <c r="G4" s="38">
        <v>440000</v>
      </c>
      <c r="H4" s="39">
        <f>SUM(C4:G4)</f>
        <v>1003544</v>
      </c>
      <c r="I4" s="93">
        <f>+B2-H4</f>
        <v>0</v>
      </c>
      <c r="J4" s="23" t="s">
        <v>1</v>
      </c>
    </row>
    <row r="5" spans="1:10" s="1" customFormat="1" x14ac:dyDescent="0.3">
      <c r="A5" s="8"/>
      <c r="B5" s="9"/>
      <c r="C5" s="10"/>
      <c r="D5" s="10"/>
      <c r="E5" s="10"/>
      <c r="F5" s="10"/>
      <c r="G5" s="10" t="s">
        <v>39</v>
      </c>
      <c r="H5" s="11"/>
      <c r="I5" s="88"/>
    </row>
    <row r="6" spans="1:10" s="1" customFormat="1" x14ac:dyDescent="0.3">
      <c r="A6" s="8" t="s">
        <v>10</v>
      </c>
      <c r="B6" s="106" t="s">
        <v>53</v>
      </c>
      <c r="C6" s="107"/>
      <c r="D6" s="107"/>
      <c r="E6" s="108">
        <v>50000</v>
      </c>
      <c r="F6" s="107"/>
      <c r="G6" s="107"/>
      <c r="H6" s="109"/>
      <c r="I6" s="95" t="s">
        <v>77</v>
      </c>
    </row>
    <row r="7" spans="1:10" x14ac:dyDescent="0.3">
      <c r="A7" s="12" t="s">
        <v>9</v>
      </c>
      <c r="B7" s="40" t="s">
        <v>26</v>
      </c>
      <c r="C7" s="41"/>
      <c r="D7" s="41"/>
      <c r="E7" s="41"/>
      <c r="F7" s="41">
        <v>25000</v>
      </c>
      <c r="G7" s="41"/>
      <c r="H7" s="85"/>
      <c r="I7" s="95" t="s">
        <v>57</v>
      </c>
    </row>
    <row r="8" spans="1:10" x14ac:dyDescent="0.3">
      <c r="A8" s="12"/>
      <c r="B8" s="40" t="s">
        <v>12</v>
      </c>
      <c r="C8" s="41"/>
      <c r="D8" s="41"/>
      <c r="E8" s="41"/>
      <c r="F8" s="41">
        <v>8432</v>
      </c>
      <c r="G8" s="41"/>
      <c r="H8" s="85"/>
      <c r="I8" s="95" t="s">
        <v>58</v>
      </c>
    </row>
    <row r="9" spans="1:10" x14ac:dyDescent="0.3">
      <c r="A9" s="12"/>
      <c r="B9" s="42" t="s">
        <v>53</v>
      </c>
      <c r="C9" s="41"/>
      <c r="D9" s="41"/>
      <c r="E9" s="41">
        <v>45000</v>
      </c>
      <c r="F9" s="41"/>
      <c r="G9" s="41"/>
      <c r="H9" s="85"/>
      <c r="I9" s="95" t="s">
        <v>77</v>
      </c>
    </row>
    <row r="10" spans="1:10" x14ac:dyDescent="0.3">
      <c r="A10" s="12"/>
      <c r="B10" s="42" t="s">
        <v>29</v>
      </c>
      <c r="C10" s="41"/>
      <c r="D10" s="41"/>
      <c r="E10" s="41">
        <v>70000</v>
      </c>
      <c r="F10" s="41"/>
      <c r="G10" s="41"/>
      <c r="H10" s="85"/>
      <c r="I10" s="95" t="s">
        <v>64</v>
      </c>
    </row>
    <row r="11" spans="1:10" s="44" customFormat="1" x14ac:dyDescent="0.3">
      <c r="A11" s="43"/>
      <c r="B11" s="40" t="s">
        <v>38</v>
      </c>
      <c r="C11" s="41">
        <v>67024</v>
      </c>
      <c r="D11" s="41">
        <f>8318+10400</f>
        <v>18718</v>
      </c>
      <c r="E11" s="41"/>
      <c r="F11" s="41"/>
      <c r="G11" s="41"/>
      <c r="H11" s="85"/>
      <c r="I11" s="95" t="s">
        <v>78</v>
      </c>
    </row>
    <row r="12" spans="1:10" s="44" customFormat="1" x14ac:dyDescent="0.3">
      <c r="A12" s="43"/>
      <c r="B12" s="40" t="s">
        <v>32</v>
      </c>
      <c r="C12" s="41">
        <v>60737</v>
      </c>
      <c r="D12" s="41">
        <v>24300</v>
      </c>
      <c r="E12" s="41"/>
      <c r="F12" s="41"/>
      <c r="G12" s="41"/>
      <c r="H12" s="85"/>
      <c r="I12" s="95" t="s">
        <v>79</v>
      </c>
    </row>
    <row r="13" spans="1:10" s="44" customFormat="1" x14ac:dyDescent="0.3">
      <c r="A13" s="43"/>
      <c r="B13" s="40" t="s">
        <v>33</v>
      </c>
      <c r="C13" s="41">
        <v>59587</v>
      </c>
      <c r="D13" s="41">
        <v>16346</v>
      </c>
      <c r="E13" s="41"/>
      <c r="F13" s="41"/>
      <c r="G13" s="41"/>
      <c r="H13" s="85"/>
      <c r="I13" s="95" t="s">
        <v>59</v>
      </c>
    </row>
    <row r="14" spans="1:10" x14ac:dyDescent="0.3">
      <c r="A14" s="12"/>
      <c r="B14" s="40" t="s">
        <v>31</v>
      </c>
      <c r="C14" s="41"/>
      <c r="D14" s="41"/>
      <c r="E14" s="41"/>
      <c r="F14" s="41">
        <v>1000</v>
      </c>
      <c r="G14" s="41"/>
      <c r="H14" s="85"/>
      <c r="I14" s="95" t="s">
        <v>60</v>
      </c>
    </row>
    <row r="15" spans="1:10" x14ac:dyDescent="0.3">
      <c r="A15" s="12"/>
      <c r="B15" s="85" t="s">
        <v>8</v>
      </c>
      <c r="C15" s="41"/>
      <c r="D15" s="41"/>
      <c r="E15" s="41"/>
      <c r="F15" s="41">
        <v>2400</v>
      </c>
      <c r="G15" s="41"/>
      <c r="H15" s="105" t="s">
        <v>1</v>
      </c>
      <c r="I15" s="95" t="s">
        <v>60</v>
      </c>
    </row>
    <row r="16" spans="1:10" x14ac:dyDescent="0.3">
      <c r="A16" s="12"/>
      <c r="B16" s="40" t="s">
        <v>28</v>
      </c>
      <c r="C16" s="41"/>
      <c r="D16" s="41"/>
      <c r="E16" s="41"/>
      <c r="F16" s="41" t="s">
        <v>1</v>
      </c>
      <c r="G16" s="41">
        <v>30000</v>
      </c>
      <c r="H16" s="85"/>
      <c r="I16" s="95" t="s">
        <v>61</v>
      </c>
    </row>
    <row r="17" spans="1:9" x14ac:dyDescent="0.3">
      <c r="A17" s="12"/>
      <c r="B17" s="85" t="s">
        <v>40</v>
      </c>
      <c r="C17" s="85"/>
      <c r="D17" s="85"/>
      <c r="E17" s="41">
        <v>30000</v>
      </c>
      <c r="F17" s="85"/>
      <c r="G17" s="85"/>
      <c r="H17" s="85"/>
      <c r="I17" s="95" t="s">
        <v>59</v>
      </c>
    </row>
    <row r="18" spans="1:9" x14ac:dyDescent="0.3">
      <c r="A18" s="12"/>
      <c r="B18" s="40" t="s">
        <v>75</v>
      </c>
      <c r="C18" s="41">
        <v>60000</v>
      </c>
      <c r="D18" s="41">
        <v>25000</v>
      </c>
      <c r="E18" s="41"/>
      <c r="F18" s="41"/>
      <c r="G18" s="41"/>
      <c r="H18" s="85"/>
      <c r="I18" s="95" t="s">
        <v>77</v>
      </c>
    </row>
    <row r="19" spans="1:9" x14ac:dyDescent="0.3">
      <c r="A19" s="12"/>
      <c r="B19" s="40" t="s">
        <v>24</v>
      </c>
      <c r="C19" s="41"/>
      <c r="D19" s="41"/>
      <c r="E19" s="41"/>
      <c r="F19" s="41"/>
      <c r="G19" s="41">
        <v>70000</v>
      </c>
      <c r="H19" s="85"/>
      <c r="I19" s="95" t="s">
        <v>62</v>
      </c>
    </row>
    <row r="20" spans="1:9" x14ac:dyDescent="0.3">
      <c r="A20" s="12"/>
      <c r="B20" s="85" t="s">
        <v>24</v>
      </c>
      <c r="C20" s="41" t="s">
        <v>1</v>
      </c>
      <c r="D20" s="41" t="s">
        <v>1</v>
      </c>
      <c r="E20" s="41" t="s">
        <v>1</v>
      </c>
      <c r="F20" s="41" t="s">
        <v>1</v>
      </c>
      <c r="G20" s="41">
        <v>90000</v>
      </c>
      <c r="H20" s="85"/>
      <c r="I20" s="95" t="s">
        <v>62</v>
      </c>
    </row>
    <row r="21" spans="1:9" x14ac:dyDescent="0.3">
      <c r="A21" s="12"/>
      <c r="B21" s="40" t="s">
        <v>23</v>
      </c>
      <c r="C21" s="41"/>
      <c r="D21" s="41"/>
      <c r="E21" s="41"/>
      <c r="F21" s="41" t="s">
        <v>1</v>
      </c>
      <c r="G21" s="41">
        <v>250000</v>
      </c>
      <c r="H21" s="41"/>
      <c r="I21" s="95" t="s">
        <v>63</v>
      </c>
    </row>
    <row r="22" spans="1:9" x14ac:dyDescent="0.3">
      <c r="A22" s="12"/>
      <c r="B22" s="85" t="s">
        <v>1</v>
      </c>
      <c r="C22" s="41"/>
      <c r="D22" s="41"/>
      <c r="E22" s="41"/>
      <c r="F22" s="41" t="s">
        <v>1</v>
      </c>
      <c r="G22" s="41" t="s">
        <v>1</v>
      </c>
      <c r="H22" s="41" t="s">
        <v>1</v>
      </c>
      <c r="I22" s="95"/>
    </row>
    <row r="23" spans="1:9" x14ac:dyDescent="0.3">
      <c r="A23" s="12"/>
      <c r="B23" s="110" t="s">
        <v>14</v>
      </c>
      <c r="C23" s="41">
        <f>SUM(C5:C22)</f>
        <v>247348</v>
      </c>
      <c r="D23" s="41">
        <f>SUM(D5:D22)</f>
        <v>84364</v>
      </c>
      <c r="E23" s="41">
        <f>SUM(E5:E22)</f>
        <v>195000</v>
      </c>
      <c r="F23" s="41">
        <f>SUM(F5:F22)</f>
        <v>36832</v>
      </c>
      <c r="G23" s="41">
        <f>SUM(G5:G22)</f>
        <v>440000</v>
      </c>
      <c r="H23" s="105">
        <f>SUM(C23:G23)</f>
        <v>1003544</v>
      </c>
      <c r="I23" s="95"/>
    </row>
    <row r="24" spans="1:9" x14ac:dyDescent="0.3">
      <c r="A24" s="12"/>
      <c r="B24" s="13"/>
      <c r="C24" s="14"/>
      <c r="D24" s="14"/>
      <c r="E24" s="14"/>
      <c r="F24" s="14"/>
      <c r="G24" s="14"/>
      <c r="H24" s="13"/>
      <c r="I24" s="95"/>
    </row>
    <row r="25" spans="1:9" x14ac:dyDescent="0.3">
      <c r="A25" s="12"/>
      <c r="B25" s="18" t="s">
        <v>15</v>
      </c>
      <c r="C25" s="14">
        <f t="shared" ref="C25:H25" si="0">+C4-C23</f>
        <v>0</v>
      </c>
      <c r="D25" s="14">
        <f t="shared" si="0"/>
        <v>0</v>
      </c>
      <c r="E25" s="14">
        <f t="shared" si="0"/>
        <v>0</v>
      </c>
      <c r="F25" s="14">
        <f t="shared" si="0"/>
        <v>0</v>
      </c>
      <c r="G25" s="14">
        <f t="shared" si="0"/>
        <v>0</v>
      </c>
      <c r="H25" s="14">
        <f t="shared" si="0"/>
        <v>0</v>
      </c>
      <c r="I25" s="95"/>
    </row>
    <row r="26" spans="1:9" x14ac:dyDescent="0.3">
      <c r="B26" s="7" t="s">
        <v>36</v>
      </c>
      <c r="C26" s="2"/>
      <c r="D26" s="2"/>
      <c r="E26" s="2"/>
    </row>
    <row r="27" spans="1:9" x14ac:dyDescent="0.3">
      <c r="B27" s="7"/>
      <c r="C27" s="2"/>
      <c r="D27" s="2"/>
      <c r="E27" s="2"/>
    </row>
    <row r="28" spans="1:9" s="56" customFormat="1" x14ac:dyDescent="0.3">
      <c r="A28" s="81"/>
    </row>
    <row r="29" spans="1:9" s="64" customFormat="1" x14ac:dyDescent="0.3">
      <c r="A29" s="63"/>
      <c r="C29" s="65"/>
      <c r="D29" s="65"/>
      <c r="E29" s="65"/>
      <c r="F29" s="65"/>
      <c r="G29" s="65"/>
      <c r="H29" s="66"/>
    </row>
    <row r="30" spans="1:9" s="56" customFormat="1" x14ac:dyDescent="0.3">
      <c r="A30" s="55"/>
    </row>
    <row r="31" spans="1:9" s="56" customFormat="1" x14ac:dyDescent="0.3">
      <c r="A31" s="57"/>
      <c r="B31" s="58"/>
    </row>
    <row r="32" spans="1:9" s="56" customFormat="1" x14ac:dyDescent="0.3">
      <c r="A32" s="59"/>
      <c r="C32" s="60"/>
    </row>
    <row r="33" spans="1:2" s="67" customFormat="1" x14ac:dyDescent="0.3">
      <c r="A33" s="62"/>
    </row>
    <row r="34" spans="1:2" s="67" customFormat="1" x14ac:dyDescent="0.3">
      <c r="A34" s="68"/>
      <c r="B34" s="69"/>
    </row>
    <row r="35" spans="1:2" s="71" customFormat="1" x14ac:dyDescent="0.3">
      <c r="A35" s="70"/>
    </row>
    <row r="36" spans="1:2" s="71" customFormat="1" x14ac:dyDescent="0.3">
      <c r="A36" s="72"/>
      <c r="B36" s="73"/>
    </row>
    <row r="37" spans="1:2" x14ac:dyDescent="0.3">
      <c r="A37" s="61"/>
    </row>
    <row r="38" spans="1:2" x14ac:dyDescent="0.3">
      <c r="A38" s="61"/>
    </row>
  </sheetData>
  <pageMargins left="0.7" right="0.7" top="0.75" bottom="0.75" header="0.3" footer="0.3"/>
  <pageSetup scale="8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  <pageSetUpPr fitToPage="1"/>
  </sheetPr>
  <dimension ref="B1:R49"/>
  <sheetViews>
    <sheetView tabSelected="1" workbookViewId="0">
      <selection activeCell="B6" sqref="B6"/>
    </sheetView>
  </sheetViews>
  <sheetFormatPr defaultRowHeight="14.4" x14ac:dyDescent="0.3"/>
  <cols>
    <col min="1" max="1" width="3.44140625" customWidth="1"/>
    <col min="2" max="2" width="14.5546875" style="6" bestFit="1" customWidth="1"/>
    <col min="3" max="3" width="59.88671875" bestFit="1" customWidth="1"/>
    <col min="4" max="4" width="11.5546875" customWidth="1"/>
    <col min="5" max="5" width="11.88671875" bestFit="1" customWidth="1"/>
    <col min="6" max="6" width="13.6640625" bestFit="1" customWidth="1"/>
    <col min="7" max="7" width="11.88671875" bestFit="1" customWidth="1"/>
    <col min="8" max="8" width="13.21875" bestFit="1" customWidth="1"/>
    <col min="9" max="9" width="13.5546875" bestFit="1" customWidth="1"/>
    <col min="10" max="10" width="55.21875" bestFit="1" customWidth="1"/>
    <col min="11" max="11" width="13.6640625" bestFit="1" customWidth="1"/>
  </cols>
  <sheetData>
    <row r="1" spans="2:18" x14ac:dyDescent="0.3">
      <c r="F1" s="86" t="s">
        <v>54</v>
      </c>
    </row>
    <row r="2" spans="2:18" s="4" customFormat="1" x14ac:dyDescent="0.3">
      <c r="B2" s="6"/>
      <c r="C2" s="89">
        <v>1409127.42</v>
      </c>
      <c r="D2" s="4" t="s">
        <v>80</v>
      </c>
      <c r="F2" s="19">
        <f>+C2*20%</f>
        <v>281825.484</v>
      </c>
      <c r="K2" s="91">
        <f>0.2*C2</f>
        <v>281825.484</v>
      </c>
    </row>
    <row r="3" spans="2:18" s="1" customFormat="1" ht="30" x14ac:dyDescent="0.4">
      <c r="B3" s="46" t="s">
        <v>19</v>
      </c>
      <c r="C3" s="51" t="s">
        <v>27</v>
      </c>
      <c r="D3" s="46" t="s">
        <v>0</v>
      </c>
      <c r="E3" s="46" t="s">
        <v>2</v>
      </c>
      <c r="F3" s="46" t="s">
        <v>3</v>
      </c>
      <c r="G3" s="46" t="s">
        <v>12</v>
      </c>
      <c r="H3" s="46" t="s">
        <v>4</v>
      </c>
      <c r="I3" s="46" t="s">
        <v>20</v>
      </c>
      <c r="J3" s="92" t="s">
        <v>67</v>
      </c>
      <c r="K3" s="97" t="s">
        <v>74</v>
      </c>
    </row>
    <row r="4" spans="2:18" s="1" customFormat="1" x14ac:dyDescent="0.3">
      <c r="B4" s="47"/>
      <c r="C4" s="48" t="s">
        <v>13</v>
      </c>
      <c r="D4" s="49"/>
      <c r="E4" s="49"/>
      <c r="F4" s="111">
        <f>F14</f>
        <v>242200</v>
      </c>
      <c r="G4" s="111">
        <f>G14</f>
        <v>44625.48</v>
      </c>
      <c r="H4" s="49">
        <v>1122301.94</v>
      </c>
      <c r="I4" s="50">
        <f>SUM(D4:H4)</f>
        <v>1409127.42</v>
      </c>
      <c r="J4" s="93">
        <f>+C2-I4</f>
        <v>0</v>
      </c>
      <c r="K4" s="94" t="s">
        <v>1</v>
      </c>
    </row>
    <row r="5" spans="2:18" s="1" customFormat="1" x14ac:dyDescent="0.3">
      <c r="B5" s="8"/>
      <c r="C5" s="9"/>
      <c r="D5" s="10"/>
      <c r="E5" s="10"/>
      <c r="F5" s="10"/>
      <c r="G5" s="10"/>
      <c r="H5" s="10"/>
      <c r="I5" s="11"/>
      <c r="J5" s="88"/>
      <c r="K5" s="98"/>
      <c r="L5" s="56"/>
      <c r="M5" s="56"/>
      <c r="N5" s="56"/>
      <c r="O5" s="56"/>
      <c r="P5" s="56"/>
      <c r="Q5" s="56" t="s">
        <v>1</v>
      </c>
      <c r="R5" s="56"/>
    </row>
    <row r="6" spans="2:18" s="44" customFormat="1" x14ac:dyDescent="0.3">
      <c r="B6" s="12" t="s">
        <v>91</v>
      </c>
      <c r="C6" s="40" t="s">
        <v>88</v>
      </c>
      <c r="D6" s="41" t="s">
        <v>89</v>
      </c>
      <c r="E6" s="41" t="s">
        <v>89</v>
      </c>
      <c r="F6" s="41"/>
      <c r="G6" s="41"/>
      <c r="H6" s="41"/>
      <c r="I6" s="85"/>
      <c r="J6" s="95" t="s">
        <v>86</v>
      </c>
      <c r="K6" s="99"/>
      <c r="M6" s="56"/>
      <c r="N6" s="56"/>
      <c r="O6" s="56"/>
      <c r="P6" s="56"/>
      <c r="Q6" s="56"/>
      <c r="R6" s="56"/>
    </row>
    <row r="7" spans="2:18" x14ac:dyDescent="0.3">
      <c r="B7" s="12"/>
      <c r="C7" s="85" t="s">
        <v>81</v>
      </c>
      <c r="D7" s="85"/>
      <c r="E7" s="85"/>
      <c r="F7" s="41">
        <v>25000</v>
      </c>
      <c r="G7" s="41"/>
      <c r="H7" s="41"/>
      <c r="I7" s="85"/>
      <c r="J7" s="95" t="s">
        <v>86</v>
      </c>
      <c r="K7" s="99">
        <f>F7</f>
        <v>25000</v>
      </c>
    </row>
    <row r="8" spans="2:18" x14ac:dyDescent="0.3">
      <c r="B8" s="12"/>
      <c r="C8" s="42" t="s">
        <v>82</v>
      </c>
      <c r="D8" s="41"/>
      <c r="E8" s="41"/>
      <c r="F8" s="41">
        <f>6300*4</f>
        <v>25200</v>
      </c>
      <c r="G8" s="41"/>
      <c r="H8" s="41"/>
      <c r="I8" s="85"/>
      <c r="J8" s="95" t="s">
        <v>86</v>
      </c>
      <c r="K8" s="99">
        <f>F8</f>
        <v>25200</v>
      </c>
    </row>
    <row r="9" spans="2:18" x14ac:dyDescent="0.3">
      <c r="B9" s="12"/>
      <c r="C9" s="40" t="s">
        <v>83</v>
      </c>
      <c r="D9" s="41"/>
      <c r="E9" s="41"/>
      <c r="F9" s="41">
        <f>64000*3</f>
        <v>192000</v>
      </c>
      <c r="G9" s="41"/>
      <c r="H9" s="41"/>
      <c r="I9" s="85"/>
      <c r="J9" s="95" t="s">
        <v>86</v>
      </c>
      <c r="K9" s="98">
        <f>F9</f>
        <v>192000</v>
      </c>
      <c r="L9" s="58"/>
    </row>
    <row r="10" spans="2:18" x14ac:dyDescent="0.3">
      <c r="B10" s="12"/>
      <c r="C10" s="104" t="s">
        <v>84</v>
      </c>
      <c r="D10" s="41"/>
      <c r="E10" s="41"/>
      <c r="F10" s="41"/>
      <c r="G10" s="41">
        <v>22312.74</v>
      </c>
      <c r="H10" s="41"/>
      <c r="I10" s="85"/>
      <c r="J10" s="95" t="s">
        <v>86</v>
      </c>
      <c r="K10" s="99">
        <f>G10</f>
        <v>22312.74</v>
      </c>
    </row>
    <row r="11" spans="2:18" x14ac:dyDescent="0.3">
      <c r="B11" s="12"/>
      <c r="C11" s="104" t="s">
        <v>85</v>
      </c>
      <c r="D11" s="41"/>
      <c r="E11" s="41"/>
      <c r="F11" s="41"/>
      <c r="G11" s="41">
        <v>22312.74</v>
      </c>
      <c r="H11" s="41"/>
      <c r="I11" s="85"/>
      <c r="J11" s="95" t="s">
        <v>86</v>
      </c>
      <c r="K11" s="99">
        <f>G11</f>
        <v>22312.74</v>
      </c>
    </row>
    <row r="12" spans="2:18" x14ac:dyDescent="0.3">
      <c r="B12" s="12"/>
      <c r="C12" s="85" t="s">
        <v>87</v>
      </c>
      <c r="D12" s="85"/>
      <c r="E12" s="85"/>
      <c r="F12" s="85"/>
      <c r="G12" s="41"/>
      <c r="H12" s="41">
        <v>1122301.94</v>
      </c>
      <c r="I12" s="85"/>
      <c r="J12" s="95" t="s">
        <v>63</v>
      </c>
      <c r="K12" s="99"/>
    </row>
    <row r="13" spans="2:18" ht="15.75" customHeight="1" x14ac:dyDescent="0.3">
      <c r="B13" s="12"/>
      <c r="C13" s="40"/>
      <c r="D13" s="41"/>
      <c r="E13" s="41"/>
      <c r="F13" s="41"/>
      <c r="G13" s="41"/>
      <c r="H13" s="41"/>
      <c r="I13" s="105"/>
      <c r="J13" s="95"/>
      <c r="K13" s="99"/>
    </row>
    <row r="14" spans="2:18" x14ac:dyDescent="0.3">
      <c r="B14" s="12"/>
      <c r="C14" s="17" t="s">
        <v>14</v>
      </c>
      <c r="D14" s="90">
        <f>SUM(D5:D12)</f>
        <v>0</v>
      </c>
      <c r="E14" s="90">
        <f>SUM(E5:E12)</f>
        <v>0</v>
      </c>
      <c r="F14" s="90">
        <f>SUM(F5:F12)</f>
        <v>242200</v>
      </c>
      <c r="G14" s="90">
        <f>SUM(G5:G12)</f>
        <v>44625.48</v>
      </c>
      <c r="H14" s="90">
        <f>SUM(H5:H12)</f>
        <v>1122301.94</v>
      </c>
      <c r="I14" s="90">
        <f>SUM(D14:H14)</f>
        <v>1409127.42</v>
      </c>
      <c r="J14" s="103" t="s">
        <v>76</v>
      </c>
      <c r="K14" s="100">
        <f>SUM(K5:K12)</f>
        <v>286825.48</v>
      </c>
    </row>
    <row r="15" spans="2:18" x14ac:dyDescent="0.3">
      <c r="C15" s="13"/>
      <c r="D15" s="14"/>
      <c r="E15" s="14"/>
      <c r="F15" s="14"/>
      <c r="G15" s="14"/>
      <c r="H15" s="14"/>
      <c r="I15" s="15"/>
      <c r="J15" s="95"/>
      <c r="K15" s="102" t="str">
        <f>IF(K14=K18&gt;K2,"Met","Not Met")</f>
        <v>Met</v>
      </c>
    </row>
    <row r="16" spans="2:18" x14ac:dyDescent="0.3">
      <c r="C16" s="18" t="s">
        <v>15</v>
      </c>
      <c r="D16" s="14">
        <f t="shared" ref="D16:I16" si="0">+D4-D14</f>
        <v>0</v>
      </c>
      <c r="E16" s="14">
        <f t="shared" si="0"/>
        <v>0</v>
      </c>
      <c r="F16" s="14">
        <f t="shared" si="0"/>
        <v>0</v>
      </c>
      <c r="G16" s="14">
        <f t="shared" si="0"/>
        <v>0</v>
      </c>
      <c r="H16" s="14">
        <f t="shared" si="0"/>
        <v>0</v>
      </c>
      <c r="I16" s="14">
        <f t="shared" si="0"/>
        <v>0</v>
      </c>
      <c r="J16" s="95"/>
      <c r="K16" s="96"/>
    </row>
    <row r="17" spans="2:8" x14ac:dyDescent="0.3">
      <c r="D17" s="2"/>
      <c r="E17" s="2"/>
      <c r="F17" s="2"/>
      <c r="G17" s="2"/>
      <c r="H17" s="2"/>
    </row>
    <row r="18" spans="2:8" x14ac:dyDescent="0.3">
      <c r="C18" s="7" t="s">
        <v>37</v>
      </c>
      <c r="D18" s="2"/>
      <c r="E18" s="2"/>
      <c r="F18" s="2"/>
      <c r="G18" s="2"/>
    </row>
    <row r="19" spans="2:8" x14ac:dyDescent="0.3">
      <c r="D19" s="2"/>
      <c r="E19" s="2"/>
      <c r="F19" s="2"/>
      <c r="G19" s="2"/>
    </row>
    <row r="20" spans="2:8" x14ac:dyDescent="0.3">
      <c r="B20" s="112" t="s">
        <v>89</v>
      </c>
      <c r="C20" s="55" t="s">
        <v>90</v>
      </c>
    </row>
    <row r="21" spans="2:8" x14ac:dyDescent="0.3">
      <c r="C21" s="74"/>
      <c r="D21" s="3"/>
    </row>
    <row r="22" spans="2:8" x14ac:dyDescent="0.3">
      <c r="C22" s="58"/>
    </row>
    <row r="24" spans="2:8" x14ac:dyDescent="0.3">
      <c r="C24" s="76"/>
    </row>
    <row r="25" spans="2:8" x14ac:dyDescent="0.3">
      <c r="C25" s="7"/>
    </row>
    <row r="27" spans="2:8" x14ac:dyDescent="0.3">
      <c r="C27" s="76"/>
    </row>
    <row r="28" spans="2:8" x14ac:dyDescent="0.3">
      <c r="C28" s="75"/>
    </row>
    <row r="30" spans="2:8" x14ac:dyDescent="0.3">
      <c r="C30" s="78"/>
    </row>
    <row r="31" spans="2:8" x14ac:dyDescent="0.3">
      <c r="C31" s="69"/>
    </row>
    <row r="33" spans="3:3" x14ac:dyDescent="0.3">
      <c r="C33" s="77"/>
    </row>
    <row r="34" spans="3:3" x14ac:dyDescent="0.3">
      <c r="C34" s="79"/>
    </row>
    <row r="35" spans="3:3" x14ac:dyDescent="0.3">
      <c r="C35" s="77"/>
    </row>
    <row r="36" spans="3:3" x14ac:dyDescent="0.3">
      <c r="C36" s="59"/>
    </row>
    <row r="37" spans="3:3" x14ac:dyDescent="0.3">
      <c r="C37" s="80"/>
    </row>
    <row r="39" spans="3:3" x14ac:dyDescent="0.3">
      <c r="C39" s="63"/>
    </row>
    <row r="40" spans="3:3" x14ac:dyDescent="0.3">
      <c r="C40" s="82"/>
    </row>
    <row r="42" spans="3:3" x14ac:dyDescent="0.3">
      <c r="C42" s="84"/>
    </row>
    <row r="43" spans="3:3" x14ac:dyDescent="0.3">
      <c r="C43" s="83"/>
    </row>
    <row r="44" spans="3:3" x14ac:dyDescent="0.3">
      <c r="C44" s="83"/>
    </row>
    <row r="45" spans="3:3" x14ac:dyDescent="0.3">
      <c r="C45" s="73" t="s">
        <v>1</v>
      </c>
    </row>
    <row r="46" spans="3:3" x14ac:dyDescent="0.3">
      <c r="C46" s="101"/>
    </row>
    <row r="48" spans="3:3" x14ac:dyDescent="0.3">
      <c r="C48" s="81"/>
    </row>
    <row r="49" spans="3:3" x14ac:dyDescent="0.3">
      <c r="C49" s="87"/>
    </row>
  </sheetData>
  <pageMargins left="0.25" right="0.25" top="0.75" bottom="0.75" header="0.3" footer="0.3"/>
  <pageSetup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B19" sqref="B19"/>
    </sheetView>
  </sheetViews>
  <sheetFormatPr defaultRowHeight="14.4" x14ac:dyDescent="0.3"/>
  <cols>
    <col min="1" max="1" width="15.33203125" customWidth="1"/>
    <col min="2" max="2" width="11.88671875" bestFit="1" customWidth="1"/>
    <col min="3" max="3" width="12.44140625" customWidth="1"/>
    <col min="4" max="4" width="12.33203125" bestFit="1" customWidth="1"/>
    <col min="5" max="5" width="11.5546875" bestFit="1" customWidth="1"/>
    <col min="6" max="7" width="13.33203125" bestFit="1" customWidth="1"/>
  </cols>
  <sheetData>
    <row r="1" spans="1:7" s="7" customFormat="1" x14ac:dyDescent="0.3">
      <c r="A1" s="7" t="s">
        <v>41</v>
      </c>
    </row>
    <row r="2" spans="1:7" s="1" customFormat="1" ht="30.75" customHeight="1" x14ac:dyDescent="0.3">
      <c r="A2" s="24" t="s">
        <v>19</v>
      </c>
      <c r="B2" s="24" t="s">
        <v>69</v>
      </c>
      <c r="C2" s="24" t="s">
        <v>70</v>
      </c>
      <c r="D2" s="24" t="s">
        <v>71</v>
      </c>
      <c r="E2" s="24" t="s">
        <v>72</v>
      </c>
      <c r="F2" s="24" t="s">
        <v>73</v>
      </c>
      <c r="G2" s="24" t="s">
        <v>42</v>
      </c>
    </row>
    <row r="3" spans="1:7" ht="30.75" customHeight="1" x14ac:dyDescent="0.3">
      <c r="A3" s="54" t="s">
        <v>43</v>
      </c>
      <c r="B3" s="14">
        <f>42069+18468</f>
        <v>60537</v>
      </c>
      <c r="C3" s="14">
        <v>0</v>
      </c>
      <c r="D3" s="14">
        <v>0</v>
      </c>
      <c r="E3" s="14">
        <f>657.22+153+551.64</f>
        <v>1361.8600000000001</v>
      </c>
      <c r="F3" s="14">
        <v>0</v>
      </c>
      <c r="G3" s="14">
        <f>SUM(B3:F3)</f>
        <v>61898.86</v>
      </c>
    </row>
    <row r="4" spans="1:7" ht="30.75" customHeight="1" x14ac:dyDescent="0.3">
      <c r="A4" s="54" t="s">
        <v>44</v>
      </c>
      <c r="B4" s="14">
        <f>45045+19388+19421+67024+60737+59587</f>
        <v>271202</v>
      </c>
      <c r="C4" s="14">
        <f>18718+24300+16346+9337+7938+3746</f>
        <v>80385</v>
      </c>
      <c r="D4" s="14">
        <f>70000+70000</f>
        <v>140000</v>
      </c>
      <c r="E4" s="14">
        <f>1000+70000</f>
        <v>71000</v>
      </c>
      <c r="F4" s="14">
        <v>0</v>
      </c>
      <c r="G4" s="14">
        <f t="shared" ref="G4:G5" si="0">SUM(B4:F4)</f>
        <v>562587</v>
      </c>
    </row>
    <row r="5" spans="1:7" ht="30.75" customHeight="1" x14ac:dyDescent="0.3">
      <c r="A5" s="54" t="s">
        <v>45</v>
      </c>
      <c r="B5" s="14">
        <f>45000+20000+68692+63000+63000+22000</f>
        <v>281692</v>
      </c>
      <c r="C5" s="14">
        <f>7000+4000+18930.36+25000+17000+10000</f>
        <v>81930.36</v>
      </c>
      <c r="D5" s="14">
        <f>55000+70000</f>
        <v>125000</v>
      </c>
      <c r="E5" s="14">
        <f>72413+1000</f>
        <v>73413</v>
      </c>
      <c r="F5" s="14">
        <v>0</v>
      </c>
      <c r="G5" s="14">
        <f t="shared" si="0"/>
        <v>562035.36</v>
      </c>
    </row>
    <row r="6" spans="1:7" ht="30.75" customHeight="1" x14ac:dyDescent="0.3">
      <c r="A6" s="54" t="s">
        <v>42</v>
      </c>
      <c r="B6" s="15">
        <f>SUM(B3:B5)</f>
        <v>613431</v>
      </c>
      <c r="C6" s="15">
        <f t="shared" ref="C6:G6" si="1">SUM(C3:C5)</f>
        <v>162315.35999999999</v>
      </c>
      <c r="D6" s="15">
        <f t="shared" si="1"/>
        <v>265000</v>
      </c>
      <c r="E6" s="15">
        <f t="shared" si="1"/>
        <v>145774.85999999999</v>
      </c>
      <c r="F6" s="15">
        <f t="shared" si="1"/>
        <v>0</v>
      </c>
      <c r="G6" s="15">
        <f t="shared" si="1"/>
        <v>1186521.22</v>
      </c>
    </row>
    <row r="9" spans="1:7" s="7" customFormat="1" x14ac:dyDescent="0.3">
      <c r="A9" s="7" t="s">
        <v>68</v>
      </c>
    </row>
    <row r="10" spans="1:7" s="1" customFormat="1" ht="30" customHeight="1" x14ac:dyDescent="0.3">
      <c r="A10" s="53" t="s">
        <v>19</v>
      </c>
      <c r="B10" s="53" t="s">
        <v>0</v>
      </c>
      <c r="C10" s="53" t="s">
        <v>2</v>
      </c>
      <c r="D10" s="53" t="s">
        <v>3</v>
      </c>
      <c r="E10" s="53" t="s">
        <v>12</v>
      </c>
      <c r="F10" s="53" t="s">
        <v>4</v>
      </c>
      <c r="G10" s="53" t="s">
        <v>42</v>
      </c>
    </row>
    <row r="11" spans="1:7" ht="30" customHeight="1" x14ac:dyDescent="0.3">
      <c r="A11" s="54" t="s">
        <v>43</v>
      </c>
      <c r="B11" s="14">
        <v>0</v>
      </c>
      <c r="C11" s="14">
        <v>0</v>
      </c>
      <c r="D11" s="14">
        <v>0</v>
      </c>
      <c r="E11" s="14">
        <f>13554+12187+4500</f>
        <v>30241</v>
      </c>
      <c r="F11" s="14">
        <v>0</v>
      </c>
      <c r="G11" s="14">
        <f>SUM(B11:F11)</f>
        <v>30241</v>
      </c>
    </row>
    <row r="12" spans="1:7" ht="30" customHeight="1" x14ac:dyDescent="0.3">
      <c r="A12" s="54" t="s">
        <v>44</v>
      </c>
      <c r="B12" s="14">
        <f>45000+45000+60000</f>
        <v>150000</v>
      </c>
      <c r="C12" s="14">
        <f>20000+20000+25000</f>
        <v>65000</v>
      </c>
      <c r="D12" s="14">
        <f>51600+50000+21000+30000</f>
        <v>152600</v>
      </c>
      <c r="E12" s="14">
        <f>229.75+1234.15+6579.92+14000+12750.18+50000+8432+2400</f>
        <v>95626</v>
      </c>
      <c r="F12" s="14">
        <f>30000+70000+90000+250000+69000</f>
        <v>509000</v>
      </c>
      <c r="G12" s="14">
        <f t="shared" ref="G12:G13" si="2">SUM(B12:F12)</f>
        <v>972226</v>
      </c>
    </row>
    <row r="13" spans="1:7" ht="30" customHeight="1" x14ac:dyDescent="0.3">
      <c r="A13" s="54" t="s">
        <v>45</v>
      </c>
      <c r="B13" s="14">
        <f>65000+50000+50000+50000</f>
        <v>215000</v>
      </c>
      <c r="C13" s="14">
        <f>22000+22000+22000</f>
        <v>66000</v>
      </c>
      <c r="D13" s="14">
        <f>35000+52000+52000+21000</f>
        <v>160000</v>
      </c>
      <c r="E13" s="14">
        <f>14000+12500+4500+50000</f>
        <v>81000</v>
      </c>
      <c r="F13" s="14">
        <f>600000+69273</f>
        <v>669273</v>
      </c>
      <c r="G13" s="14">
        <f t="shared" si="2"/>
        <v>1191273</v>
      </c>
    </row>
    <row r="14" spans="1:7" ht="30" customHeight="1" x14ac:dyDescent="0.3">
      <c r="A14" s="54" t="s">
        <v>42</v>
      </c>
      <c r="B14" s="15">
        <f>SUM(B11:B13)</f>
        <v>365000</v>
      </c>
      <c r="C14" s="15">
        <f t="shared" ref="C14:G14" si="3">SUM(C11:C13)</f>
        <v>131000</v>
      </c>
      <c r="D14" s="15">
        <f t="shared" si="3"/>
        <v>312600</v>
      </c>
      <c r="E14" s="15">
        <f t="shared" si="3"/>
        <v>206867</v>
      </c>
      <c r="F14" s="15">
        <f t="shared" si="3"/>
        <v>1178273</v>
      </c>
      <c r="G14" s="15">
        <f t="shared" si="3"/>
        <v>2193740</v>
      </c>
    </row>
    <row r="17" spans="1:7" s="7" customFormat="1" x14ac:dyDescent="0.3">
      <c r="A17" s="7" t="s">
        <v>46</v>
      </c>
    </row>
    <row r="18" spans="1:7" s="1" customFormat="1" ht="28.8" x14ac:dyDescent="0.3">
      <c r="A18" s="30" t="s">
        <v>19</v>
      </c>
      <c r="B18" s="30" t="s">
        <v>0</v>
      </c>
      <c r="C18" s="30" t="s">
        <v>2</v>
      </c>
      <c r="D18" s="30" t="s">
        <v>3</v>
      </c>
      <c r="E18" s="30" t="s">
        <v>12</v>
      </c>
      <c r="F18" s="30" t="s">
        <v>4</v>
      </c>
      <c r="G18" s="30" t="s">
        <v>42</v>
      </c>
    </row>
    <row r="19" spans="1:7" ht="31.5" customHeight="1" x14ac:dyDescent="0.3">
      <c r="A19" s="13" t="s">
        <v>47</v>
      </c>
      <c r="B19" s="15">
        <f>+B5+B13</f>
        <v>496692</v>
      </c>
      <c r="C19" s="15">
        <f>+C13+C5</f>
        <v>147930.35999999999</v>
      </c>
      <c r="D19" s="15">
        <f>+D5</f>
        <v>125000</v>
      </c>
      <c r="E19" s="15">
        <f>+E5</f>
        <v>73413</v>
      </c>
      <c r="F19" s="13">
        <v>0</v>
      </c>
      <c r="G19" s="15">
        <f>SUM(B19:F19)</f>
        <v>843035.36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2D65CB4E809C409D2F5DDFB2AB1D32" ma:contentTypeVersion="12" ma:contentTypeDescription="Create a new document." ma:contentTypeScope="" ma:versionID="8d3c1c4b6538acaf3003f817ba4e7afa">
  <xsd:schema xmlns:xsd="http://www.w3.org/2001/XMLSchema" xmlns:xs="http://www.w3.org/2001/XMLSchema" xmlns:p="http://schemas.microsoft.com/office/2006/metadata/properties" xmlns:ns2="9133d7fa-23dc-48c1-b072-9371450479ec" xmlns:ns3="1a84d927-10f7-4086-8e96-5efd223e83a3" targetNamespace="http://schemas.microsoft.com/office/2006/metadata/properties" ma:root="true" ma:fieldsID="20d1351e5a503f724b3c7bce8fcebec1" ns2:_="" ns3:_="">
    <xsd:import namespace="9133d7fa-23dc-48c1-b072-9371450479ec"/>
    <xsd:import namespace="1a84d927-10f7-4086-8e96-5efd223e83a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33d7fa-23dc-48c1-b072-9371450479e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84d927-10f7-4086-8e96-5efd223e83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CF44ED-DE03-4244-8F2E-F2BB3A7C29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598B75-25AB-49F0-B662-6FDBA43CE350}">
  <ds:schemaRefs>
    <ds:schemaRef ds:uri="9133d7fa-23dc-48c1-b072-9371450479ec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1a84d927-10f7-4086-8e96-5efd223e83a3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E870A4F-A029-463A-9953-4434FB0A8B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33d7fa-23dc-48c1-b072-9371450479ec"/>
    <ds:schemaRef ds:uri="1a84d927-10f7-4086-8e96-5efd223e83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ESSER I</vt:lpstr>
      <vt:lpstr>ESSER II</vt:lpstr>
      <vt:lpstr>ESSER III</vt:lpstr>
      <vt:lpstr>5 yr Forecast Distribution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Kellie Breehl</dc:creator>
  <cp:lastModifiedBy>Jason Fleming</cp:lastModifiedBy>
  <cp:lastPrinted>2021-05-03T19:18:36Z</cp:lastPrinted>
  <dcterms:created xsi:type="dcterms:W3CDTF">2021-04-20T12:51:59Z</dcterms:created>
  <dcterms:modified xsi:type="dcterms:W3CDTF">2021-06-21T16:50:03Z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0x010100122D65CB4E809C409D2F5DDFB2AB1D32</vt:lpwstr>
  </property>
</Properties>
</file>